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<sst xmlns="http://schemas.openxmlformats.org/spreadsheetml/2006/main" count="156" uniqueCount="111">
  <si>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</si>
  <si>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</si>
  <si>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</si>
  <si>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</si>
  <si>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</si>
  <si>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</si>
  <si>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</si>
  <si>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</si>
  <si>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</si>
  <si>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</si>
  <si>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</si>
  <si>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</si>
  <si>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</si>
  <si>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</si>
  <si>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</si>
  <si>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</si>
  <si>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</si>
  <si>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</si>
  <si>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</si>
  <si>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</si>
  <si>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</si>
  <si>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</si>
  <si>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</si>
  <si>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</si>
  <si>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</si>
  <si>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</si>
  <si>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</si>
  <si>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</si>
  <si>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</si>
  <si>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</si>
  <si>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</si>
  <si>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</si>
  <si>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</si>
  <si>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</si>
  <si>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</si>
  <si>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</si>
  <si>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</si>
  <si>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</si>
  <si>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</si>
  <si>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</si>
  <si>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</si>
  <si>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</si>
  <si>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</si>
  <si>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</si>
  <si>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</si>
  <si>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</si>
  <si>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</si>
  <si>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</si>
  <si>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</si>
  <si>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</si>
  <si>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</si>
  <si>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</si>
  <si>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</si>
  <si>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</si>
  <si>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</si>
  <si>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</si>
  <si>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</si>
  <si>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</si>
  <si>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</si>
  <si>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</si>
  <si>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</si>
  <si>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</si>
  <si>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</si>
  <si>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</si>
  <si>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</si>
  <si>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</si>
  <si>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</si>
  <si>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</si>
  <si>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</si>
  <si>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</si>
  <si>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</si>
  <si>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</si>
  <si>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</si>
  <si>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</si>
  <si>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</si>
  <si>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</si>
  <si>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</si>
  <si>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</si>
  <si>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</si>
  <si>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</si>
  <si>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</si>
  <si>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</si>
  <si>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</si>
  <si>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</si>
  <si>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</si>
  <si>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</si>
  <si>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</si>
  <si>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</si>
  <si>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</si>
  <si>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</si>
  <si>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</si>
  <si>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</si>
  <si>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</si>
  <si>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</si>
  <si>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</si>
  <si>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</si>
  <si>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</si>
  <si>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</si>
  <si>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</si>
  <si>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</si>
  <si>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</si>
  <si>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</si>
  <si>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</si>
  <si>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</si>
  <si>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</si>
  <si>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</si>
  <si>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</si>
  <si>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</si>
  <si>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</si>
  <si>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</si>
  <si>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2014 рік станом на 10.06.2014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</si>
</sst>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7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18490.3</c:v>
                </c:pt>
                <c:pt idx="1">
                  <c:v>15371.8</c:v>
                </c:pt>
                <c:pt idx="2">
                  <c:v>999.0999999999999</c:v>
                </c:pt>
                <c:pt idx="3">
                  <c:v>2119.4</c:v>
                </c:pt>
              </c:numCache>
            </c:numRef>
          </c:val>
          <c:shape val="box"/>
        </c:ser>
        <c:shape val="box"/>
        <c:axId val="28980360"/>
        <c:axId val="59496649"/>
      </c:bar3DChart>
      <c:catAx>
        <c:axId val="28980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496649"/>
        <c:crosses val="autoZero"/>
        <c:auto val="1"/>
        <c:lblOffset val="100"/>
        <c:tickLblSkip val="1"/>
        <c:noMultiLvlLbl val="0"/>
      </c:catAx>
      <c:valAx>
        <c:axId val="59496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803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128230.10000000002</c:v>
                </c:pt>
                <c:pt idx="1">
                  <c:v>102661.5</c:v>
                </c:pt>
                <c:pt idx="2">
                  <c:v>10.000000000000002</c:v>
                </c:pt>
                <c:pt idx="3">
                  <c:v>7895.700000000001</c:v>
                </c:pt>
                <c:pt idx="4">
                  <c:v>17048.6</c:v>
                </c:pt>
                <c:pt idx="5">
                  <c:v>167</c:v>
                </c:pt>
                <c:pt idx="6">
                  <c:v>447.3000000000211</c:v>
                </c:pt>
              </c:numCache>
            </c:numRef>
          </c:val>
          <c:shape val="box"/>
        </c:ser>
        <c:shape val="box"/>
        <c:axId val="65707794"/>
        <c:axId val="54499235"/>
      </c:bar3DChart>
      <c:catAx>
        <c:axId val="65707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99235"/>
        <c:crosses val="autoZero"/>
        <c:auto val="1"/>
        <c:lblOffset val="100"/>
        <c:tickLblSkip val="1"/>
        <c:noMultiLvlLbl val="0"/>
      </c:catAx>
      <c:valAx>
        <c:axId val="54499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077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79417.2</c:v>
                </c:pt>
                <c:pt idx="1">
                  <c:v>63324.39999999999</c:v>
                </c:pt>
                <c:pt idx="2">
                  <c:v>1851.7999999999995</c:v>
                </c:pt>
                <c:pt idx="3">
                  <c:v>1100.1</c:v>
                </c:pt>
                <c:pt idx="4">
                  <c:v>7192.6</c:v>
                </c:pt>
                <c:pt idx="5">
                  <c:v>607.5999999999999</c:v>
                </c:pt>
                <c:pt idx="6">
                  <c:v>5340.70000000001</c:v>
                </c:pt>
              </c:numCache>
            </c:numRef>
          </c:val>
          <c:shape val="box"/>
        </c:ser>
        <c:shape val="box"/>
        <c:axId val="20731068"/>
        <c:axId val="52361885"/>
      </c:bar3DChart>
      <c:catAx>
        <c:axId val="20731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61885"/>
        <c:crosses val="autoZero"/>
        <c:auto val="1"/>
        <c:lblOffset val="100"/>
        <c:tickLblSkip val="1"/>
        <c:noMultiLvlLbl val="0"/>
      </c:catAx>
      <c:valAx>
        <c:axId val="52361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310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15085.000000000004</c:v>
                </c:pt>
                <c:pt idx="1">
                  <c:v>11272.199999999999</c:v>
                </c:pt>
                <c:pt idx="2">
                  <c:v>669.5</c:v>
                </c:pt>
                <c:pt idx="3">
                  <c:v>195.1</c:v>
                </c:pt>
                <c:pt idx="4">
                  <c:v>18</c:v>
                </c:pt>
                <c:pt idx="5">
                  <c:v>2930.200000000005</c:v>
                </c:pt>
              </c:numCache>
            </c:numRef>
          </c:val>
          <c:shape val="box"/>
        </c:ser>
        <c:shape val="box"/>
        <c:axId val="1494918"/>
        <c:axId val="13454263"/>
      </c:bar3DChart>
      <c:catAx>
        <c:axId val="1494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54263"/>
        <c:crosses val="autoZero"/>
        <c:auto val="1"/>
        <c:lblOffset val="100"/>
        <c:tickLblSkip val="1"/>
        <c:noMultiLvlLbl val="0"/>
      </c:catAx>
      <c:valAx>
        <c:axId val="13454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49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4948.299999999999</c:v>
                </c:pt>
                <c:pt idx="1">
                  <c:v>3178.2</c:v>
                </c:pt>
                <c:pt idx="3">
                  <c:v>75.20000000000002</c:v>
                </c:pt>
                <c:pt idx="4">
                  <c:v>213.39999999999995</c:v>
                </c:pt>
                <c:pt idx="5">
                  <c:v>1481.4999999999995</c:v>
                </c:pt>
              </c:numCache>
            </c:numRef>
          </c:val>
          <c:shape val="box"/>
        </c:ser>
        <c:shape val="box"/>
        <c:axId val="53979504"/>
        <c:axId val="16053489"/>
      </c:bar3DChart>
      <c:catAx>
        <c:axId val="5397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53489"/>
        <c:crosses val="autoZero"/>
        <c:auto val="1"/>
        <c:lblOffset val="100"/>
        <c:tickLblSkip val="2"/>
        <c:noMultiLvlLbl val="0"/>
      </c:catAx>
      <c:valAx>
        <c:axId val="16053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795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1185.7</c:v>
                </c:pt>
                <c:pt idx="1">
                  <c:v>985.6</c:v>
                </c:pt>
                <c:pt idx="3">
                  <c:v>121.4</c:v>
                </c:pt>
                <c:pt idx="5">
                  <c:v>78.70000000000002</c:v>
                </c:pt>
              </c:numCache>
            </c:numRef>
          </c:val>
          <c:shape val="box"/>
        </c:ser>
        <c:shape val="box"/>
        <c:axId val="10263674"/>
        <c:axId val="25264203"/>
      </c:bar3DChart>
      <c:catAx>
        <c:axId val="1026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64203"/>
        <c:crosses val="autoZero"/>
        <c:auto val="1"/>
        <c:lblOffset val="100"/>
        <c:tickLblSkip val="1"/>
        <c:noMultiLvlLbl val="0"/>
      </c:catAx>
      <c:valAx>
        <c:axId val="25264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636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14967.000000000004</c:v>
                </c:pt>
              </c:numCache>
            </c:numRef>
          </c:val>
          <c:shape val="box"/>
        </c:ser>
        <c:shape val="box"/>
        <c:axId val="26051236"/>
        <c:axId val="33134533"/>
      </c:bar3DChart>
      <c:catAx>
        <c:axId val="2605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134533"/>
        <c:crosses val="autoZero"/>
        <c:auto val="1"/>
        <c:lblOffset val="100"/>
        <c:tickLblSkip val="1"/>
        <c:noMultiLvlLbl val="0"/>
      </c:catAx>
      <c:valAx>
        <c:axId val="33134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512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128230.10000000002</c:v>
                </c:pt>
                <c:pt idx="1">
                  <c:v>79417.2</c:v>
                </c:pt>
                <c:pt idx="2">
                  <c:v>15085.000000000004</c:v>
                </c:pt>
                <c:pt idx="3">
                  <c:v>4948.299999999999</c:v>
                </c:pt>
                <c:pt idx="4">
                  <c:v>1185.7</c:v>
                </c:pt>
                <c:pt idx="5">
                  <c:v>18490.3</c:v>
                </c:pt>
                <c:pt idx="6">
                  <c:v>14967.000000000004</c:v>
                </c:pt>
              </c:numCache>
            </c:numRef>
          </c:val>
          <c:shape val="box"/>
        </c:ser>
        <c:shape val="box"/>
        <c:axId val="29775342"/>
        <c:axId val="66651487"/>
      </c:bar3DChart>
      <c:catAx>
        <c:axId val="29775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51487"/>
        <c:crosses val="autoZero"/>
        <c:auto val="1"/>
        <c:lblOffset val="100"/>
        <c:tickLblSkip val="1"/>
        <c:noMultiLvlLbl val="0"/>
      </c:catAx>
      <c:valAx>
        <c:axId val="666514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753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8036.500000000001</c:v>
                </c:pt>
                <c:pt idx="4">
                  <c:v>7873.900000000001</c:v>
                </c:pt>
                <c:pt idx="5">
                  <c:v>92563.40000000001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199270.1</c:v>
                </c:pt>
                <c:pt idx="1">
                  <c:v>26726.999999999996</c:v>
                </c:pt>
                <c:pt idx="2">
                  <c:v>9100.000000000002</c:v>
                </c:pt>
                <c:pt idx="3">
                  <c:v>3146.6000000000004</c:v>
                </c:pt>
                <c:pt idx="4">
                  <c:v>1861.7999999999995</c:v>
                </c:pt>
                <c:pt idx="5">
                  <c:v>33404.10000000003</c:v>
                </c:pt>
              </c:numCache>
            </c:numRef>
          </c:val>
          <c:shape val="box"/>
        </c:ser>
        <c:shape val="box"/>
        <c:axId val="62992472"/>
        <c:axId val="30061337"/>
      </c:bar3DChart>
      <c:catAx>
        <c:axId val="62992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061337"/>
        <c:crosses val="autoZero"/>
        <c:auto val="1"/>
        <c:lblOffset val="100"/>
        <c:tickLblSkip val="1"/>
        <c:noMultiLvlLbl val="0"/>
      </c:catAx>
      <c:valAx>
        <c:axId val="30061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924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0" t="s">
        <v>110</v>
      </c>
      <c r="B1" s="120"/>
      <c r="C1" s="120"/>
      <c r="D1" s="120"/>
      <c r="E1" s="120"/>
      <c r="F1" s="120"/>
      <c r="G1" s="120"/>
      <c r="H1" s="120"/>
      <c r="I1" s="120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4" t="s">
        <v>50</v>
      </c>
      <c r="B3" s="121" t="s">
        <v>107</v>
      </c>
      <c r="C3" s="121" t="s">
        <v>102</v>
      </c>
      <c r="D3" s="121" t="s">
        <v>29</v>
      </c>
      <c r="E3" s="121" t="s">
        <v>28</v>
      </c>
      <c r="F3" s="121" t="s">
        <v>108</v>
      </c>
      <c r="G3" s="121" t="s">
        <v>103</v>
      </c>
      <c r="H3" s="121" t="s">
        <v>109</v>
      </c>
      <c r="I3" s="121" t="s">
        <v>104</v>
      </c>
    </row>
    <row r="4" spans="1:9" ht="24.75" customHeight="1">
      <c r="A4" s="125"/>
      <c r="B4" s="122"/>
      <c r="C4" s="122"/>
      <c r="D4" s="122"/>
      <c r="E4" s="122"/>
      <c r="F4" s="122"/>
      <c r="G4" s="122"/>
      <c r="H4" s="122"/>
      <c r="I4" s="122"/>
    </row>
    <row r="5" spans="1:9" ht="39" customHeight="1" thickBot="1">
      <c r="A5" s="126"/>
      <c r="B5" s="123"/>
      <c r="C5" s="123"/>
      <c r="D5" s="123"/>
      <c r="E5" s="123"/>
      <c r="F5" s="123"/>
      <c r="G5" s="123"/>
      <c r="H5" s="123"/>
      <c r="I5" s="123"/>
    </row>
    <row r="6" spans="1:9" ht="18.75" thickBot="1">
      <c r="A6" s="30" t="s">
        <v>34</v>
      </c>
      <c r="B6" s="55">
        <v>171482.7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</f>
        <v>128424.40000000002</v>
      </c>
      <c r="E6" s="3">
        <f>D6/D134*100</f>
        <v>46.80662005603335</v>
      </c>
      <c r="F6" s="3">
        <f>D6/B6*100</f>
        <v>74.89058663060473</v>
      </c>
      <c r="G6" s="3">
        <f aca="true" t="shared" si="0" ref="G6:G41">D6/C6*100</f>
        <v>46.80902557313761</v>
      </c>
      <c r="H6" s="3">
        <f>B6-D6</f>
        <v>43058.29999999999</v>
      </c>
      <c r="I6" s="3">
        <f aca="true" t="shared" si="1" ref="I6:I41">C6-D6</f>
        <v>145933.8</v>
      </c>
    </row>
    <row r="7" spans="1:9" ht="18">
      <c r="A7" s="31" t="s">
        <v>3</v>
      </c>
      <c r="B7" s="52">
        <v>136247.5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7985.1+61.4+9890.7+1.2+8129.6+806.2+1384.8+4074.5+2508.4-0.1+1256+5351+1046.8+1404.7+196.9+8063.3+1035+0.1+765.8+122.3+398.7+641.6+852.4+6947.2+10178.9+8480.2+21078.8</f>
        <v>102661.5</v>
      </c>
      <c r="E7" s="1">
        <f>D7/D6*100</f>
        <v>79.93924830483925</v>
      </c>
      <c r="F7" s="1">
        <f>D7/B7*100</f>
        <v>75.34927246371494</v>
      </c>
      <c r="G7" s="1">
        <f t="shared" si="0"/>
        <v>47.703983126809604</v>
      </c>
      <c r="H7" s="1">
        <f>B7-D7</f>
        <v>33586</v>
      </c>
      <c r="I7" s="1">
        <f t="shared" si="1"/>
        <v>112543.80000000002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0.1+0.1+0.3+0.3+2.7+0.7+1.1+1.4+0.5+0.7+1.7+0.4</f>
        <v>10.000000000000002</v>
      </c>
      <c r="E8" s="13">
        <f>D8/D6*100</f>
        <v>0.007786682281560202</v>
      </c>
      <c r="F8" s="1">
        <f>D8/B8*100</f>
        <v>42.73504273504275</v>
      </c>
      <c r="G8" s="1">
        <f t="shared" si="0"/>
        <v>22.421524663677133</v>
      </c>
      <c r="H8" s="1">
        <f aca="true" t="shared" si="2" ref="H8:H30">B8-D8</f>
        <v>13.399999999999997</v>
      </c>
      <c r="I8" s="1">
        <f t="shared" si="1"/>
        <v>34.6</v>
      </c>
    </row>
    <row r="9" spans="1:9" ht="18">
      <c r="A9" s="31" t="s">
        <v>1</v>
      </c>
      <c r="B9" s="52">
        <v>9122.6</v>
      </c>
      <c r="C9" s="53">
        <v>17103.7</v>
      </c>
      <c r="D9" s="58">
        <f>538.7+346.9+429.4+56.3+419.6+508.1+71-0.1+453.2+98.5+2.8+391.5+199.8+80.8+202.8+35.8+0.1+605.8+190.7+96.5+200+176+997.3+131.2+243.2+104+591.3+99.4+217.4+212.6+91.6-0.1+103.6+174.3</f>
        <v>8070.000000000001</v>
      </c>
      <c r="E9" s="1">
        <f>D9/D6*100</f>
        <v>6.283852601219082</v>
      </c>
      <c r="F9" s="1">
        <f aca="true" t="shared" si="3" ref="F9:F39">D9/B9*100</f>
        <v>88.46162278297854</v>
      </c>
      <c r="G9" s="1">
        <f t="shared" si="0"/>
        <v>47.182773318054</v>
      </c>
      <c r="H9" s="1">
        <f t="shared" si="2"/>
        <v>1052.5999999999995</v>
      </c>
      <c r="I9" s="1">
        <f t="shared" si="1"/>
        <v>9033.7</v>
      </c>
    </row>
    <row r="10" spans="1:9" ht="18">
      <c r="A10" s="31" t="s">
        <v>0</v>
      </c>
      <c r="B10" s="52">
        <v>24775.9</v>
      </c>
      <c r="C10" s="53">
        <v>39445.5</v>
      </c>
      <c r="D10" s="59">
        <f>1.1+76.7+36.7+34.9+18.5+42.2+88.1+82.5+80.9+400.1+1837.5+2957.3+365.3+150+4041.5+622.1+388.9+504.4+104+339.4+307.4+873.2+298.8+1030.7+5.1+301.4+159+4.7+44.9+145.5+1389.2+0.1+286.8+29.7</f>
        <v>17048.6</v>
      </c>
      <c r="E10" s="1">
        <f>D10/D6*100</f>
        <v>13.275203154540721</v>
      </c>
      <c r="F10" s="1">
        <f t="shared" si="3"/>
        <v>68.81122381023494</v>
      </c>
      <c r="G10" s="1">
        <f t="shared" si="0"/>
        <v>43.220646208059215</v>
      </c>
      <c r="H10" s="1">
        <f t="shared" si="2"/>
        <v>7727.300000000003</v>
      </c>
      <c r="I10" s="1">
        <f t="shared" si="1"/>
        <v>22396.9</v>
      </c>
    </row>
    <row r="11" spans="1:9" ht="18">
      <c r="A11" s="31" t="s">
        <v>15</v>
      </c>
      <c r="B11" s="52">
        <v>240.1</v>
      </c>
      <c r="C11" s="53">
        <v>281.8</v>
      </c>
      <c r="D11" s="54">
        <f>4+4+12.7+4+4+14.5+4+115.8+4</f>
        <v>167</v>
      </c>
      <c r="E11" s="1">
        <f>D11/D6*100</f>
        <v>0.13003759410205534</v>
      </c>
      <c r="F11" s="1">
        <f t="shared" si="3"/>
        <v>69.55435235318618</v>
      </c>
      <c r="G11" s="1">
        <f t="shared" si="0"/>
        <v>59.26188786373314</v>
      </c>
      <c r="H11" s="1">
        <f t="shared" si="2"/>
        <v>73.1</v>
      </c>
      <c r="I11" s="1">
        <f t="shared" si="1"/>
        <v>114.80000000000001</v>
      </c>
    </row>
    <row r="12" spans="1:9" ht="18.75" thickBot="1">
      <c r="A12" s="31" t="s">
        <v>35</v>
      </c>
      <c r="B12" s="53">
        <f>B6-B7-B8-B9-B10-B11</f>
        <v>1073.2000000000103</v>
      </c>
      <c r="C12" s="53">
        <f>C6-C7-C8-C9-C10-C11</f>
        <v>2277.299999999991</v>
      </c>
      <c r="D12" s="53">
        <f>D6-D7-D8-D9-D10-D11</f>
        <v>467.30000000002474</v>
      </c>
      <c r="E12" s="1">
        <f>D12/D6*100</f>
        <v>0.36387166301732743</v>
      </c>
      <c r="F12" s="1">
        <f t="shared" si="3"/>
        <v>43.54267610883528</v>
      </c>
      <c r="G12" s="1">
        <f t="shared" si="0"/>
        <v>20.519913933167636</v>
      </c>
      <c r="H12" s="1">
        <f t="shared" si="2"/>
        <v>605.8999999999855</v>
      </c>
      <c r="I12" s="1">
        <f t="shared" si="1"/>
        <v>1809.9999999999663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103856.3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</f>
        <v>79688.9</v>
      </c>
      <c r="E17" s="3">
        <f>D17/D134*100</f>
        <v>29.04407624239035</v>
      </c>
      <c r="F17" s="3">
        <f>D17/B17*100</f>
        <v>76.72996245774209</v>
      </c>
      <c r="G17" s="3">
        <f t="shared" si="0"/>
        <v>44.82754741159389</v>
      </c>
      <c r="H17" s="3">
        <f>B17-D17</f>
        <v>24167.40000000001</v>
      </c>
      <c r="I17" s="3">
        <f t="shared" si="1"/>
        <v>98078.80000000002</v>
      </c>
    </row>
    <row r="18" spans="1:9" ht="18">
      <c r="A18" s="31" t="s">
        <v>5</v>
      </c>
      <c r="B18" s="52">
        <v>79531.2</v>
      </c>
      <c r="C18" s="53">
        <f>133077.8+325.7</f>
        <v>133403.5</v>
      </c>
      <c r="D18" s="54">
        <f>5127.2+6545.1+310.1+0.1+5190.4+6767.1+5380.4+556.1+6698.2+26.3+5454.2+14.7+1807.4+5633.7-0.1+5479.7+8333.7+0.1</f>
        <v>63324.39999999999</v>
      </c>
      <c r="E18" s="1">
        <f>D18/D17*100</f>
        <v>79.46451764298415</v>
      </c>
      <c r="F18" s="1">
        <f t="shared" si="3"/>
        <v>79.62208542056449</v>
      </c>
      <c r="G18" s="1">
        <f t="shared" si="0"/>
        <v>47.46831979670698</v>
      </c>
      <c r="H18" s="1">
        <f t="shared" si="2"/>
        <v>16206.80000000001</v>
      </c>
      <c r="I18" s="1">
        <f t="shared" si="1"/>
        <v>70079.1</v>
      </c>
    </row>
    <row r="19" spans="1:9" ht="18">
      <c r="A19" s="31" t="s">
        <v>2</v>
      </c>
      <c r="B19" s="52">
        <v>4048.5</v>
      </c>
      <c r="C19" s="53">
        <f>7565.3-5.5+258.8</f>
        <v>7818.6</v>
      </c>
      <c r="D19" s="54">
        <f>15+99.7+173.8+0.6+107.5+22.1+0.5+193.8+202.2+7.6+0.9+0.4+198.3+0.9+0.9+95.5+0.1+279.3+38.4+83.3+46.9+46.6+4.1+6.6+39.1+95.6+92.1</f>
        <v>1851.7999999999995</v>
      </c>
      <c r="E19" s="1">
        <f>D19/D17*100</f>
        <v>2.3237866252388972</v>
      </c>
      <c r="F19" s="1">
        <f t="shared" si="3"/>
        <v>45.74039767815239</v>
      </c>
      <c r="G19" s="1">
        <f t="shared" si="0"/>
        <v>23.684547105619924</v>
      </c>
      <c r="H19" s="1">
        <f t="shared" si="2"/>
        <v>2196.7000000000007</v>
      </c>
      <c r="I19" s="1">
        <f t="shared" si="1"/>
        <v>5966.800000000001</v>
      </c>
    </row>
    <row r="20" spans="1:9" ht="18">
      <c r="A20" s="31" t="s">
        <v>1</v>
      </c>
      <c r="B20" s="52">
        <v>1349.7</v>
      </c>
      <c r="C20" s="53">
        <v>2836.6</v>
      </c>
      <c r="D20" s="54">
        <f>50.7+162.6+43.4+2.3+47.2+1.8+59.1-0.1+62.8+64.5+13.9+16.6+5.7+70.4+205+17+53.6+0.4+52.9+123.3+33.6+13.4</f>
        <v>1100.1</v>
      </c>
      <c r="E20" s="1">
        <f>D20/D17*100</f>
        <v>1.3804933936846913</v>
      </c>
      <c r="F20" s="1">
        <f t="shared" si="3"/>
        <v>81.5070015559013</v>
      </c>
      <c r="G20" s="1">
        <f t="shared" si="0"/>
        <v>38.782345060988504</v>
      </c>
      <c r="H20" s="1">
        <f t="shared" si="2"/>
        <v>249.60000000000014</v>
      </c>
      <c r="I20" s="1">
        <f t="shared" si="1"/>
        <v>1736.5</v>
      </c>
    </row>
    <row r="21" spans="1:9" ht="18">
      <c r="A21" s="31" t="s">
        <v>0</v>
      </c>
      <c r="B21" s="52">
        <v>9949.1</v>
      </c>
      <c r="C21" s="53">
        <f>19349.6+4</f>
        <v>19353.6</v>
      </c>
      <c r="D21" s="54">
        <f>36.6+15.7+3.3+2+290.1+4.1+24.2+41.8-0.1+460.8+0.9+2.5+257.9+361.7+1303.2+901+0.2+255.3+105.4+1050+1256.6+91+115.9+147.7+464.8</f>
        <v>7192.6</v>
      </c>
      <c r="E21" s="1">
        <f>D21/D17*100</f>
        <v>9.025849271353978</v>
      </c>
      <c r="F21" s="1">
        <f t="shared" si="3"/>
        <v>72.2939763395684</v>
      </c>
      <c r="G21" s="1">
        <f t="shared" si="0"/>
        <v>37.16414517195767</v>
      </c>
      <c r="H21" s="1">
        <f t="shared" si="2"/>
        <v>2756.5</v>
      </c>
      <c r="I21" s="1">
        <f t="shared" si="1"/>
        <v>12160.999999999998</v>
      </c>
    </row>
    <row r="22" spans="1:9" ht="18">
      <c r="A22" s="31" t="s">
        <v>15</v>
      </c>
      <c r="B22" s="52">
        <v>740.8</v>
      </c>
      <c r="C22" s="53">
        <v>1388.5</v>
      </c>
      <c r="D22" s="54">
        <f>14.2+80.1+19.7+105+3.5+1.3+30+84.1+0.1+72.2+54.8+15.1+59.3+59.3+8.9</f>
        <v>607.5999999999999</v>
      </c>
      <c r="E22" s="1">
        <f>D22/D17*100</f>
        <v>0.7624650359083887</v>
      </c>
      <c r="F22" s="1">
        <f t="shared" si="3"/>
        <v>82.0194384449244</v>
      </c>
      <c r="G22" s="1">
        <f t="shared" si="0"/>
        <v>43.75945264674108</v>
      </c>
      <c r="H22" s="1">
        <f t="shared" si="2"/>
        <v>133.20000000000005</v>
      </c>
      <c r="I22" s="1">
        <f t="shared" si="1"/>
        <v>780.9000000000001</v>
      </c>
    </row>
    <row r="23" spans="1:9" ht="18.75" thickBot="1">
      <c r="A23" s="31" t="s">
        <v>35</v>
      </c>
      <c r="B23" s="53">
        <f>B17-B18-B19-B20-B21-B22</f>
        <v>8237.000000000005</v>
      </c>
      <c r="C23" s="53">
        <f>C17-C18-C19-C20-C21-C22</f>
        <v>12966.900000000016</v>
      </c>
      <c r="D23" s="53">
        <f>D17-D18-D19-D20-D21-D22</f>
        <v>5612.400000000007</v>
      </c>
      <c r="E23" s="1">
        <f>D23/D17*100</f>
        <v>7.042888030829898</v>
      </c>
      <c r="F23" s="1">
        <f t="shared" si="3"/>
        <v>68.13645744810007</v>
      </c>
      <c r="G23" s="1">
        <f t="shared" si="0"/>
        <v>43.28251162575481</v>
      </c>
      <c r="H23" s="1">
        <f t="shared" si="2"/>
        <v>2624.5999999999985</v>
      </c>
      <c r="I23" s="1">
        <f t="shared" si="1"/>
        <v>7354.500000000009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22540.8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</f>
        <v>15170.300000000003</v>
      </c>
      <c r="E31" s="3">
        <f>D31/D134*100</f>
        <v>5.529093133672751</v>
      </c>
      <c r="F31" s="3">
        <f>D31/B31*100</f>
        <v>67.30151547416241</v>
      </c>
      <c r="G31" s="3">
        <f t="shared" si="0"/>
        <v>40.42632002515603</v>
      </c>
      <c r="H31" s="3">
        <f aca="true" t="shared" si="4" ref="H31:H41">B31-D31</f>
        <v>7370.499999999996</v>
      </c>
      <c r="I31" s="3">
        <f t="shared" si="1"/>
        <v>22355.5</v>
      </c>
    </row>
    <row r="32" spans="1:9" ht="18">
      <c r="A32" s="31" t="s">
        <v>3</v>
      </c>
      <c r="B32" s="52">
        <v>17275.3</v>
      </c>
      <c r="C32" s="53">
        <f>28976.1-761.1</f>
        <v>28215</v>
      </c>
      <c r="D32" s="54">
        <f>1119.5+1121.1+1039.4+104.2+1079.5+1133.4+1048+1163.9+1081.6+1130.3+1238-0.1+13.4</f>
        <v>11272.199999999999</v>
      </c>
      <c r="E32" s="1">
        <f>D32/D31*100</f>
        <v>74.30439740809342</v>
      </c>
      <c r="F32" s="1">
        <f t="shared" si="3"/>
        <v>65.25038638981667</v>
      </c>
      <c r="G32" s="1">
        <f t="shared" si="0"/>
        <v>39.95108984582668</v>
      </c>
      <c r="H32" s="1">
        <f t="shared" si="4"/>
        <v>6003.1</v>
      </c>
      <c r="I32" s="1">
        <f t="shared" si="1"/>
        <v>16942.800000000003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999.4</v>
      </c>
      <c r="C34" s="53">
        <f>1732.8+0.4</f>
        <v>1733.2</v>
      </c>
      <c r="D34" s="54">
        <f>1+2.5+0.8+6+1.4+0.1+11.2+0.5+6.3-0.2+32.4+6.9+2.4+3.4+18.4+48+143.7+198.6+32.7+71.3+22.6+9.9+48+1.6</f>
        <v>669.5</v>
      </c>
      <c r="E34" s="1">
        <f>D34/D31*100</f>
        <v>4.413228479331324</v>
      </c>
      <c r="F34" s="1">
        <f t="shared" si="3"/>
        <v>66.99019411646988</v>
      </c>
      <c r="G34" s="1">
        <f t="shared" si="0"/>
        <v>38.62797138241403</v>
      </c>
      <c r="H34" s="1">
        <f t="shared" si="4"/>
        <v>329.9</v>
      </c>
      <c r="I34" s="1">
        <f t="shared" si="1"/>
        <v>1063.7</v>
      </c>
    </row>
    <row r="35" spans="1:9" s="47" customFormat="1" ht="18.75">
      <c r="A35" s="25" t="s">
        <v>7</v>
      </c>
      <c r="B35" s="61">
        <v>462.7</v>
      </c>
      <c r="C35" s="62">
        <v>715.3</v>
      </c>
      <c r="D35" s="63">
        <f>38.5+5.5+3+4.5+22.1+25.5+8.2+45.3+17.5+1+24+2.2</f>
        <v>197.29999999999998</v>
      </c>
      <c r="E35" s="21">
        <f>D35/D31*100</f>
        <v>1.3005675563436447</v>
      </c>
      <c r="F35" s="21">
        <f t="shared" si="3"/>
        <v>42.641020099416465</v>
      </c>
      <c r="G35" s="21">
        <f t="shared" si="0"/>
        <v>27.58283237802321</v>
      </c>
      <c r="H35" s="21">
        <f t="shared" si="4"/>
        <v>265.4</v>
      </c>
      <c r="I35" s="21">
        <f t="shared" si="1"/>
        <v>518</v>
      </c>
    </row>
    <row r="36" spans="1:9" ht="18">
      <c r="A36" s="31" t="s">
        <v>15</v>
      </c>
      <c r="B36" s="52">
        <v>18</v>
      </c>
      <c r="C36" s="53">
        <f>45.2-20</f>
        <v>25.200000000000003</v>
      </c>
      <c r="D36" s="53">
        <f>3.6+3.6+7.2+3.6</f>
        <v>18</v>
      </c>
      <c r="E36" s="1">
        <f>D36/D31*100</f>
        <v>0.11865289414184292</v>
      </c>
      <c r="F36" s="1">
        <f t="shared" si="3"/>
        <v>100</v>
      </c>
      <c r="G36" s="1">
        <f t="shared" si="0"/>
        <v>71.42857142857142</v>
      </c>
      <c r="H36" s="1">
        <f t="shared" si="4"/>
        <v>0</v>
      </c>
      <c r="I36" s="1">
        <f t="shared" si="1"/>
        <v>7.200000000000003</v>
      </c>
    </row>
    <row r="37" spans="1:9" ht="18.75" thickBot="1">
      <c r="A37" s="31" t="s">
        <v>35</v>
      </c>
      <c r="B37" s="52">
        <f>B31-B32-B34-B35-B33-B36</f>
        <v>3785.4000000000005</v>
      </c>
      <c r="C37" s="52">
        <f>C31-C32-C34-C35-C33-C36</f>
        <v>6837.100000000003</v>
      </c>
      <c r="D37" s="52">
        <f>D31-D32-D34-D35-D33-D36</f>
        <v>3013.300000000004</v>
      </c>
      <c r="E37" s="1">
        <f>D37/D31*100</f>
        <v>19.863153662089765</v>
      </c>
      <c r="F37" s="1">
        <f t="shared" si="3"/>
        <v>79.6032123421568</v>
      </c>
      <c r="G37" s="1">
        <f t="shared" si="0"/>
        <v>44.072779394772674</v>
      </c>
      <c r="H37" s="1">
        <f>B37-D37</f>
        <v>772.0999999999967</v>
      </c>
      <c r="I37" s="1">
        <f t="shared" si="1"/>
        <v>3823.7999999999993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588.7</v>
      </c>
      <c r="C41" s="56">
        <f>1079.9+40.7</f>
        <v>1120.6000000000001</v>
      </c>
      <c r="D41" s="57">
        <f>39.9+10-0.1+63.8+32.1+23.9+51.2+20.3</f>
        <v>241.10000000000002</v>
      </c>
      <c r="E41" s="3">
        <f>D41/D134*100</f>
        <v>0.0878733020789635</v>
      </c>
      <c r="F41" s="3">
        <f>D41/B41*100</f>
        <v>40.95464582979446</v>
      </c>
      <c r="G41" s="3">
        <f t="shared" si="0"/>
        <v>21.515259682313044</v>
      </c>
      <c r="H41" s="3">
        <f t="shared" si="4"/>
        <v>347.6</v>
      </c>
      <c r="I41" s="3">
        <f t="shared" si="1"/>
        <v>879.5000000000001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3091.3</v>
      </c>
      <c r="C43" s="56">
        <f>6105.1+0.1</f>
        <v>6105.200000000001</v>
      </c>
      <c r="D43" s="57">
        <f>179.7+225.2+3.4+199.4+211.8+7.4+5.4+7.6+190.5+3.4+230.5+100.1+236.3+13.2+11.9+20.5+199.9+0.1+2+33.2+238.5+1.1+16.6+248.3+10.5+35.6+4.4+8.2</f>
        <v>2444.7</v>
      </c>
      <c r="E43" s="3">
        <f>D43/D134*100</f>
        <v>0.891015601793621</v>
      </c>
      <c r="F43" s="3">
        <f>D43/B43*100</f>
        <v>79.08323359104583</v>
      </c>
      <c r="G43" s="3">
        <f aca="true" t="shared" si="5" ref="G43:G73">D43/C43*100</f>
        <v>40.042914237043824</v>
      </c>
      <c r="H43" s="3">
        <f>B43-D43</f>
        <v>646.6000000000004</v>
      </c>
      <c r="I43" s="3">
        <f aca="true" t="shared" si="6" ref="I43:I74">C43-D43</f>
        <v>3660.500000000001</v>
      </c>
    </row>
    <row r="44" spans="1:9" ht="18">
      <c r="A44" s="31" t="s">
        <v>3</v>
      </c>
      <c r="B44" s="52">
        <v>2606.7</v>
      </c>
      <c r="C44" s="53">
        <f>5484.1-124.7</f>
        <v>5359.400000000001</v>
      </c>
      <c r="D44" s="54">
        <f>179.7+201.3+187+211.8+190.5+230.5+236.3+199.9+0.1+218.5+248.3+8.2</f>
        <v>2112.1</v>
      </c>
      <c r="E44" s="1">
        <f>D44/D43*100</f>
        <v>86.39505869840882</v>
      </c>
      <c r="F44" s="1">
        <f aca="true" t="shared" si="7" ref="F44:F71">D44/B44*100</f>
        <v>81.02581808416772</v>
      </c>
      <c r="G44" s="1">
        <f t="shared" si="5"/>
        <v>39.40926223084673</v>
      </c>
      <c r="H44" s="1">
        <f aca="true" t="shared" si="8" ref="H44:H71">B44-D44</f>
        <v>494.5999999999999</v>
      </c>
      <c r="I44" s="1">
        <f t="shared" si="6"/>
        <v>3247.3000000000006</v>
      </c>
    </row>
    <row r="45" spans="1:9" ht="18">
      <c r="A45" s="31" t="s">
        <v>2</v>
      </c>
      <c r="B45" s="52">
        <v>0.8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0.8</v>
      </c>
      <c r="I45" s="1">
        <f t="shared" si="6"/>
        <v>1</v>
      </c>
    </row>
    <row r="46" spans="1:9" ht="18">
      <c r="A46" s="31" t="s">
        <v>1</v>
      </c>
      <c r="B46" s="52">
        <v>18.2</v>
      </c>
      <c r="C46" s="53">
        <v>35.1</v>
      </c>
      <c r="D46" s="54">
        <f>3.2+3.4-0.1+3.7+3.6</f>
        <v>13.799999999999999</v>
      </c>
      <c r="E46" s="1">
        <f>D46/D43*100</f>
        <v>0.5644864400539944</v>
      </c>
      <c r="F46" s="1">
        <f t="shared" si="7"/>
        <v>75.82417582417582</v>
      </c>
      <c r="G46" s="1">
        <f t="shared" si="5"/>
        <v>39.31623931623931</v>
      </c>
      <c r="H46" s="1">
        <f t="shared" si="8"/>
        <v>4.4</v>
      </c>
      <c r="I46" s="1">
        <f t="shared" si="6"/>
        <v>21.300000000000004</v>
      </c>
    </row>
    <row r="47" spans="1:9" ht="18">
      <c r="A47" s="31" t="s">
        <v>0</v>
      </c>
      <c r="B47" s="52">
        <v>262.7</v>
      </c>
      <c r="C47" s="53">
        <f>358+23.1</f>
        <v>381.1</v>
      </c>
      <c r="D47" s="54">
        <f>23.1+2.7+0.5+0.4+5.2+0.6+99.9+12.6+20.5-0.1+2+19.6+1.1+0.5+4.4</f>
        <v>193</v>
      </c>
      <c r="E47" s="1">
        <f>D47/D43*100</f>
        <v>7.894629197856588</v>
      </c>
      <c r="F47" s="1">
        <f t="shared" si="7"/>
        <v>73.46783403121432</v>
      </c>
      <c r="G47" s="1">
        <f t="shared" si="5"/>
        <v>50.64287588559433</v>
      </c>
      <c r="H47" s="1">
        <f t="shared" si="8"/>
        <v>69.69999999999999</v>
      </c>
      <c r="I47" s="1">
        <f t="shared" si="6"/>
        <v>188.10000000000002</v>
      </c>
    </row>
    <row r="48" spans="1:9" ht="18.75" thickBot="1">
      <c r="A48" s="31" t="s">
        <v>35</v>
      </c>
      <c r="B48" s="53">
        <f>B43-B44-B47-B46-B45</f>
        <v>202.90000000000038</v>
      </c>
      <c r="C48" s="53">
        <f>C43-C44-C47-C46-C45</f>
        <v>328.60000000000014</v>
      </c>
      <c r="D48" s="53">
        <f>D43-D44-D47-D46-D45</f>
        <v>125.79999999999991</v>
      </c>
      <c r="E48" s="1">
        <f>D48/D43*100</f>
        <v>5.145825663680612</v>
      </c>
      <c r="F48" s="1">
        <f t="shared" si="7"/>
        <v>62.000985707244794</v>
      </c>
      <c r="G48" s="1">
        <f t="shared" si="5"/>
        <v>38.2836275106512</v>
      </c>
      <c r="H48" s="1">
        <f t="shared" si="8"/>
        <v>77.10000000000046</v>
      </c>
      <c r="I48" s="1">
        <f t="shared" si="6"/>
        <v>202.80000000000024</v>
      </c>
    </row>
    <row r="49" spans="1:9" ht="18.75" thickBot="1">
      <c r="A49" s="30" t="s">
        <v>4</v>
      </c>
      <c r="B49" s="55">
        <f>6683.1-70-2.7</f>
        <v>6610.400000000001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282.8+343.5+104.6+27.4+31.1+70.8+315.1+27.8+66.3+5+25+425.5+95.6+8.8+334.8+43.9+50.2+364.8+68.9-0.1+79.4+50+73.4+231.6+28.9+39.3+89.2+10.3+6.7+27.5+358.6+70.2+0.2+53.9+3+100+69.1+15.3+319.6+25.2+72.3+402.7+50+64.4-0.1+15.8</f>
        <v>4948.299999999999</v>
      </c>
      <c r="E49" s="3">
        <f>D49/D134*100</f>
        <v>1.8034983852232889</v>
      </c>
      <c r="F49" s="3">
        <f>D49/B49*100</f>
        <v>74.8562870628101</v>
      </c>
      <c r="G49" s="3">
        <f t="shared" si="5"/>
        <v>40.7596250473633</v>
      </c>
      <c r="H49" s="3">
        <f>B49-D49</f>
        <v>1662.1000000000013</v>
      </c>
      <c r="I49" s="3">
        <f t="shared" si="6"/>
        <v>7191.9</v>
      </c>
    </row>
    <row r="50" spans="1:9" ht="18">
      <c r="A50" s="31" t="s">
        <v>3</v>
      </c>
      <c r="B50" s="52">
        <v>4095.7</v>
      </c>
      <c r="C50" s="53">
        <f>7727-234.9</f>
        <v>7492.1</v>
      </c>
      <c r="D50" s="54">
        <f>282.8+343.5+279.8+360.5+269.9+364.8-0.1+7.2+231.6+28.9+358.6+269.6+381.2-0.1</f>
        <v>3178.2</v>
      </c>
      <c r="E50" s="1">
        <f>D50/D49*100</f>
        <v>64.2281187478528</v>
      </c>
      <c r="F50" s="1">
        <f t="shared" si="7"/>
        <v>77.59845691823132</v>
      </c>
      <c r="G50" s="1">
        <f t="shared" si="5"/>
        <v>42.42068311955259</v>
      </c>
      <c r="H50" s="1">
        <f t="shared" si="8"/>
        <v>917.5</v>
      </c>
      <c r="I50" s="1">
        <f t="shared" si="6"/>
        <v>4313.900000000001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167.1</v>
      </c>
      <c r="C52" s="53">
        <v>325</v>
      </c>
      <c r="D52" s="54">
        <f>2.4+4.2+4.2+8.7+3.1+5.2-0.1+2.3+6.7+7.1+0.1+3.9+3.5+21.5+2.5-0.1</f>
        <v>75.20000000000002</v>
      </c>
      <c r="E52" s="1">
        <f>D52/D49*100</f>
        <v>1.519713841117152</v>
      </c>
      <c r="F52" s="1">
        <f t="shared" si="7"/>
        <v>45.00299222022742</v>
      </c>
      <c r="G52" s="1">
        <f t="shared" si="5"/>
        <v>23.138461538461545</v>
      </c>
      <c r="H52" s="1">
        <f t="shared" si="8"/>
        <v>91.89999999999998</v>
      </c>
      <c r="I52" s="1">
        <f t="shared" si="6"/>
        <v>249.79999999999998</v>
      </c>
    </row>
    <row r="53" spans="1:9" ht="18">
      <c r="A53" s="31" t="s">
        <v>0</v>
      </c>
      <c r="B53" s="52">
        <f>289.6-62</f>
        <v>227.60000000000002</v>
      </c>
      <c r="C53" s="53">
        <v>534.1</v>
      </c>
      <c r="D53" s="54">
        <f>6+11+5+10.4+0.1+20.8+16+0.1+76.5+39.2+7.7+0.3+8.1+0.1+0.2+12-0.1</f>
        <v>213.39999999999995</v>
      </c>
      <c r="E53" s="1">
        <f>D53/D49*100</f>
        <v>4.312592203382979</v>
      </c>
      <c r="F53" s="1">
        <f t="shared" si="7"/>
        <v>93.76098418277678</v>
      </c>
      <c r="G53" s="1">
        <f t="shared" si="5"/>
        <v>39.95506459464519</v>
      </c>
      <c r="H53" s="1">
        <f t="shared" si="8"/>
        <v>14.200000000000074</v>
      </c>
      <c r="I53" s="1">
        <f t="shared" si="6"/>
        <v>320.70000000000005</v>
      </c>
    </row>
    <row r="54" spans="1:9" ht="18.75" thickBot="1">
      <c r="A54" s="31" t="s">
        <v>35</v>
      </c>
      <c r="B54" s="53">
        <f>B49-B50-B53-B52-B51</f>
        <v>2120.000000000001</v>
      </c>
      <c r="C54" s="53">
        <f>C49-C50-C53-C52-C51</f>
        <v>3779.2999999999984</v>
      </c>
      <c r="D54" s="53">
        <f>D49-D50-D53-D52-D51</f>
        <v>1481.4999999999995</v>
      </c>
      <c r="E54" s="1">
        <f>D54/D49*100</f>
        <v>29.939575207647067</v>
      </c>
      <c r="F54" s="1">
        <f t="shared" si="7"/>
        <v>69.88207547169806</v>
      </c>
      <c r="G54" s="1">
        <f t="shared" si="5"/>
        <v>39.20038102294076</v>
      </c>
      <c r="H54" s="1">
        <f t="shared" si="8"/>
        <v>638.5000000000014</v>
      </c>
      <c r="I54" s="1">
        <f>C54-D54</f>
        <v>2297.799999999999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f>1936.2+70+2.7</f>
        <v>2008.9</v>
      </c>
      <c r="C56" s="56">
        <f>3908.9-890.1</f>
        <v>3018.8</v>
      </c>
      <c r="D56" s="57">
        <f>128-60.9+102.5+11.8+75.2+16.7+4.5+87.9+0.1+68.6+30.5+35.2+2.4+30+93-9.8+0.1+1.7+68.5+10.2+1.8+24.5+103.7+27.9-0.2+10.2+8.1+67+7.8+116.4+1.9+0.1+112.6+7.7</f>
        <v>1185.7</v>
      </c>
      <c r="E56" s="3">
        <f>D56/D134*100</f>
        <v>0.4321500384696268</v>
      </c>
      <c r="F56" s="3">
        <f>D56/B56*100</f>
        <v>59.02235054009657</v>
      </c>
      <c r="G56" s="3">
        <f t="shared" si="5"/>
        <v>39.27719623691533</v>
      </c>
      <c r="H56" s="3">
        <f>B56-D56</f>
        <v>823.2</v>
      </c>
      <c r="I56" s="3">
        <f t="shared" si="6"/>
        <v>1833.1000000000001</v>
      </c>
    </row>
    <row r="57" spans="1:9" ht="18">
      <c r="A57" s="31" t="s">
        <v>3</v>
      </c>
      <c r="B57" s="52">
        <f>1051.9+102.1</f>
        <v>1154</v>
      </c>
      <c r="C57" s="53">
        <f>2589.6-887.6</f>
        <v>1702</v>
      </c>
      <c r="D57" s="54">
        <f>128-60.9+102.5+75.2+87.9+68.6+30+93+68.5+96.9-0.1+67+116.4+112.6</f>
        <v>985.6</v>
      </c>
      <c r="E57" s="1">
        <f>D57/D56*100</f>
        <v>83.12389305895252</v>
      </c>
      <c r="F57" s="1">
        <f t="shared" si="7"/>
        <v>85.40727902946273</v>
      </c>
      <c r="G57" s="1">
        <f t="shared" si="5"/>
        <v>57.90834312573443</v>
      </c>
      <c r="H57" s="1">
        <f t="shared" si="8"/>
        <v>168.39999999999998</v>
      </c>
      <c r="I57" s="1">
        <f t="shared" si="6"/>
        <v>716.4</v>
      </c>
    </row>
    <row r="58" spans="1:9" ht="18">
      <c r="A58" s="31" t="s">
        <v>1</v>
      </c>
      <c r="B58" s="52">
        <v>63</v>
      </c>
      <c r="C58" s="53">
        <v>188.9</v>
      </c>
      <c r="D58" s="54"/>
      <c r="E58" s="1">
        <f>D58/D56*100</f>
        <v>0</v>
      </c>
      <c r="F58" s="1">
        <f t="shared" si="7"/>
        <v>0</v>
      </c>
      <c r="G58" s="1">
        <f t="shared" si="5"/>
        <v>0</v>
      </c>
      <c r="H58" s="1">
        <f t="shared" si="8"/>
        <v>63</v>
      </c>
      <c r="I58" s="1">
        <f t="shared" si="6"/>
        <v>188.9</v>
      </c>
    </row>
    <row r="59" spans="1:9" ht="18">
      <c r="A59" s="31" t="s">
        <v>0</v>
      </c>
      <c r="B59" s="52">
        <f>163.8-32.1</f>
        <v>131.70000000000002</v>
      </c>
      <c r="C59" s="53">
        <f>297.4-9.5</f>
        <v>287.9</v>
      </c>
      <c r="D59" s="54">
        <f>4.5+4.5+30.5+35.2+10+24.5+10.2+0.1+1.9</f>
        <v>121.4</v>
      </c>
      <c r="E59" s="1">
        <f>D59/D56*100</f>
        <v>10.238677574428607</v>
      </c>
      <c r="F59" s="1">
        <f t="shared" si="7"/>
        <v>92.17919514047075</v>
      </c>
      <c r="G59" s="1">
        <f t="shared" si="5"/>
        <v>42.16741924279264</v>
      </c>
      <c r="H59" s="1">
        <f t="shared" si="8"/>
        <v>10.300000000000011</v>
      </c>
      <c r="I59" s="1">
        <f t="shared" si="6"/>
        <v>166.49999999999997</v>
      </c>
    </row>
    <row r="60" spans="1:9" ht="18">
      <c r="A60" s="31" t="s">
        <v>15</v>
      </c>
      <c r="B60" s="52">
        <v>573.3</v>
      </c>
      <c r="C60" s="53">
        <v>728.7</v>
      </c>
      <c r="D60" s="54"/>
      <c r="E60" s="1">
        <f>D60/D56*100</f>
        <v>0</v>
      </c>
      <c r="F60" s="1">
        <f t="shared" si="7"/>
        <v>0</v>
      </c>
      <c r="G60" s="1">
        <f t="shared" si="5"/>
        <v>0</v>
      </c>
      <c r="H60" s="1">
        <f t="shared" si="8"/>
        <v>573.3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86.90000000000009</v>
      </c>
      <c r="C61" s="53">
        <f>C56-C57-C59-C60-C58</f>
        <v>111.30000000000004</v>
      </c>
      <c r="D61" s="53">
        <f>D56-D57-D59-D60-D58</f>
        <v>78.70000000000002</v>
      </c>
      <c r="E61" s="1">
        <f>D61/D56*100</f>
        <v>6.637429366618876</v>
      </c>
      <c r="F61" s="1">
        <f t="shared" si="7"/>
        <v>90.56386651323352</v>
      </c>
      <c r="G61" s="1">
        <f t="shared" si="5"/>
        <v>70.70979335130278</v>
      </c>
      <c r="H61" s="1">
        <f t="shared" si="8"/>
        <v>8.200000000000074</v>
      </c>
      <c r="I61" s="1">
        <f t="shared" si="6"/>
        <v>32.60000000000002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228.8</v>
      </c>
      <c r="C66" s="56">
        <f>C67+C68</f>
        <v>460</v>
      </c>
      <c r="D66" s="57">
        <f>SUM(D67:D68)</f>
        <v>1.4</v>
      </c>
      <c r="E66" s="44">
        <f>D66/D134*100</f>
        <v>0.0005102555906700493</v>
      </c>
      <c r="F66" s="118">
        <f>D66/B66*100</f>
        <v>0.6118881118881118</v>
      </c>
      <c r="G66" s="3">
        <f t="shared" si="5"/>
        <v>0.30434782608695654</v>
      </c>
      <c r="H66" s="3">
        <f>B66-D66</f>
        <v>227.4</v>
      </c>
      <c r="I66" s="3">
        <f t="shared" si="6"/>
        <v>458.6</v>
      </c>
    </row>
    <row r="67" spans="1:9" ht="18">
      <c r="A67" s="31" t="s">
        <v>8</v>
      </c>
      <c r="B67" s="52">
        <f>138.3-1.2</f>
        <v>137.10000000000002</v>
      </c>
      <c r="C67" s="53">
        <v>257.4</v>
      </c>
      <c r="D67" s="54">
        <f>1.4</f>
        <v>1.4</v>
      </c>
      <c r="E67" s="1"/>
      <c r="F67" s="1">
        <f t="shared" si="7"/>
        <v>1.0211524434719181</v>
      </c>
      <c r="G67" s="1">
        <f t="shared" si="5"/>
        <v>0.5439005439005439</v>
      </c>
      <c r="H67" s="1">
        <f t="shared" si="8"/>
        <v>135.70000000000002</v>
      </c>
      <c r="I67" s="1">
        <f t="shared" si="6"/>
        <v>255.99999999999997</v>
      </c>
    </row>
    <row r="68" spans="1:9" ht="18.75" thickBot="1">
      <c r="A68" s="31" t="s">
        <v>9</v>
      </c>
      <c r="B68" s="52">
        <v>91.7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91.7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200</v>
      </c>
      <c r="C74" s="72">
        <v>400</v>
      </c>
      <c r="D74" s="73"/>
      <c r="E74" s="51"/>
      <c r="F74" s="51"/>
      <c r="G74" s="51"/>
      <c r="H74" s="51">
        <f>B74-D74</f>
        <v>200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23974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</f>
        <v>18701.2</v>
      </c>
      <c r="E87" s="3">
        <f>D87/D134*100</f>
        <v>6.815994180170519</v>
      </c>
      <c r="F87" s="3">
        <f aca="true" t="shared" si="11" ref="F87:F92">D87/B87*100</f>
        <v>78.00617335446735</v>
      </c>
      <c r="G87" s="3">
        <f t="shared" si="9"/>
        <v>41.592420434579545</v>
      </c>
      <c r="H87" s="3">
        <f aca="true" t="shared" si="12" ref="H87:H92">B87-D87</f>
        <v>5272.799999999999</v>
      </c>
      <c r="I87" s="3">
        <f t="shared" si="10"/>
        <v>26261.8</v>
      </c>
    </row>
    <row r="88" spans="1:9" ht="18">
      <c r="A88" s="31" t="s">
        <v>3</v>
      </c>
      <c r="B88" s="52">
        <f>19314.4-28.1</f>
        <v>19286.300000000003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3.8+55.8+877.5+206+1.6+755.1+834.4+26.6+41.3+1268.7+0.5+8.5+536.6+685.6+565+6.3-0.1+21.4+100.1+302.4+492.5+445.4+29.6+0.1+201.4+262.7+1370.2+24.4-0.1+35.6+18.8+8.4+764.2+651.1+17.3+9.9+12+37.6+3+1586.6+20.4+1318.5+14.1+1654.4+83.7+12.9+128.8</f>
        <v>15500.599999999999</v>
      </c>
      <c r="E88" s="1">
        <f>D88/D87*100</f>
        <v>82.88559022950398</v>
      </c>
      <c r="F88" s="1">
        <f t="shared" si="11"/>
        <v>80.3710405832119</v>
      </c>
      <c r="G88" s="1">
        <f t="shared" si="9"/>
        <v>40.77785348426693</v>
      </c>
      <c r="H88" s="1">
        <f t="shared" si="12"/>
        <v>3785.7000000000044</v>
      </c>
      <c r="I88" s="1">
        <f t="shared" si="10"/>
        <v>22511.700000000004</v>
      </c>
    </row>
    <row r="89" spans="1:9" ht="18">
      <c r="A89" s="31" t="s">
        <v>33</v>
      </c>
      <c r="B89" s="52">
        <v>1262.7</v>
      </c>
      <c r="C89" s="53">
        <f>1866.3+51.3</f>
        <v>1917.6</v>
      </c>
      <c r="D89" s="54">
        <f>125+55.5+51.3+1.7-0.1+10.4+5.3+280.6+162.7+2.2+25.3+117.8+56.8+64.4+1.4+31+7.8</f>
        <v>999.0999999999999</v>
      </c>
      <c r="E89" s="1">
        <f>D89/D87*100</f>
        <v>5.3424379184223465</v>
      </c>
      <c r="F89" s="1">
        <f t="shared" si="11"/>
        <v>79.12409915260947</v>
      </c>
      <c r="G89" s="1">
        <f t="shared" si="9"/>
        <v>52.10158531497705</v>
      </c>
      <c r="H89" s="1">
        <f t="shared" si="12"/>
        <v>263.60000000000014</v>
      </c>
      <c r="I89" s="1">
        <f t="shared" si="10"/>
        <v>918.5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3424.9999999999973</v>
      </c>
      <c r="C91" s="53">
        <f>C87-C88-C89-C90</f>
        <v>5033.099999999997</v>
      </c>
      <c r="D91" s="53">
        <f>D87-D88-D89-D90</f>
        <v>2201.5000000000023</v>
      </c>
      <c r="E91" s="1">
        <f>D91/D87*100</f>
        <v>11.771971852073676</v>
      </c>
      <c r="F91" s="1">
        <f t="shared" si="11"/>
        <v>64.27737226277384</v>
      </c>
      <c r="G91" s="1">
        <f>D91/C91*100</f>
        <v>43.74043829846424</v>
      </c>
      <c r="H91" s="1">
        <f t="shared" si="12"/>
        <v>1223.499999999995</v>
      </c>
      <c r="I91" s="1">
        <f>C91-D91</f>
        <v>2831.5999999999945</v>
      </c>
    </row>
    <row r="92" spans="1:9" ht="19.5" thickBot="1">
      <c r="A92" s="15" t="s">
        <v>12</v>
      </c>
      <c r="B92" s="64">
        <v>24371.2</v>
      </c>
      <c r="C92" s="75">
        <f>39290.3+3989.1</f>
        <v>43279.4</v>
      </c>
      <c r="D92" s="57">
        <f>2618.9+2514.7+108.2+3415.7+1160.5+185.2+4.1+84.7+287.5+200+100+150+100+100+200+100+100+200+130+350+114+133.6+100+100+42.6+152.4+200+150+76.7+100+150+250+150+100+138.2+500+200+200</f>
        <v>14967.000000000004</v>
      </c>
      <c r="E92" s="3">
        <f>D92/D134*100</f>
        <v>5.454996732541879</v>
      </c>
      <c r="F92" s="3">
        <f t="shared" si="11"/>
        <v>61.41265099789918</v>
      </c>
      <c r="G92" s="3">
        <f>D92/C92*100</f>
        <v>34.58227239749165</v>
      </c>
      <c r="H92" s="3">
        <f t="shared" si="12"/>
        <v>9404.199999999997</v>
      </c>
      <c r="I92" s="3">
        <f>C92-D92</f>
        <v>28312.399999999998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3441.9</v>
      </c>
      <c r="C98" s="110">
        <f>5290.2+873.6</f>
        <v>6163.8</v>
      </c>
      <c r="D98" s="94">
        <f>111.6+19.4+112.6-0.1+0.9+99.9+111.6+6.9+7.2+47.9+73.3+25.9+28.7+425.6+10.7+10.8+95.5+241.7+128.5+184.1+105.5+17.7+1.5+12.7+140+2.5+123.7+119.6+27+29.2+112.9+89.4+83.4</f>
        <v>2607.8</v>
      </c>
      <c r="E98" s="27">
        <f>D98/D134*100</f>
        <v>0.9504603781066819</v>
      </c>
      <c r="F98" s="27">
        <f>D98/B98*100</f>
        <v>75.76629187367443</v>
      </c>
      <c r="G98" s="27">
        <f aca="true" t="shared" si="13" ref="G98:G111">D98/C98*100</f>
        <v>42.30831629838736</v>
      </c>
      <c r="H98" s="27">
        <f>B98-D98</f>
        <v>834.0999999999999</v>
      </c>
      <c r="I98" s="27">
        <f aca="true" t="shared" si="14" ref="I98:I132">C98-D98</f>
        <v>3556</v>
      </c>
    </row>
    <row r="99" spans="1:9" ht="18">
      <c r="A99" s="95" t="s">
        <v>66</v>
      </c>
      <c r="B99" s="105">
        <v>15.2</v>
      </c>
      <c r="C99" s="103">
        <f>23.5-2.3-6</f>
        <v>15.2</v>
      </c>
      <c r="D99" s="103">
        <f>12.7+2.5</f>
        <v>15.2</v>
      </c>
      <c r="E99" s="99">
        <f>D99/D98*100</f>
        <v>0.5828667842625967</v>
      </c>
      <c r="F99" s="1">
        <f>D99/B99*100</f>
        <v>100</v>
      </c>
      <c r="G99" s="99">
        <f>D99/C99*100</f>
        <v>100</v>
      </c>
      <c r="H99" s="99">
        <f>B99-D99</f>
        <v>0</v>
      </c>
      <c r="I99" s="99">
        <f t="shared" si="14"/>
        <v>0</v>
      </c>
    </row>
    <row r="100" spans="1:9" ht="18">
      <c r="A100" s="101" t="s">
        <v>65</v>
      </c>
      <c r="B100" s="85">
        <v>3153.6</v>
      </c>
      <c r="C100" s="54">
        <f>4699.6+1.8+903.3-10.8-3+21.3+0.1</f>
        <v>5612.300000000001</v>
      </c>
      <c r="D100" s="54">
        <f>111.4+112.6+0.9+99.8+111.4+47.6+73.3-0.9+24.7+28.7+415.6+4.4+7.7+94.7+205.4+127.9+182.3+101.7+1.5+137.1+2.5+115.1+119.6+27+29+84.6-0.1+88.5+83.4</f>
        <v>2437.4000000000005</v>
      </c>
      <c r="E100" s="1">
        <f>D100/D98*100</f>
        <v>93.46575657642458</v>
      </c>
      <c r="F100" s="1">
        <f aca="true" t="shared" si="15" ref="F100:F132">D100/B100*100</f>
        <v>77.28944698122783</v>
      </c>
      <c r="G100" s="1">
        <f t="shared" si="13"/>
        <v>43.42960996382945</v>
      </c>
      <c r="H100" s="1">
        <f>B100-D100</f>
        <v>716.1999999999994</v>
      </c>
      <c r="I100" s="1">
        <f t="shared" si="14"/>
        <v>3174.9000000000005</v>
      </c>
    </row>
    <row r="101" spans="1:9" ht="18.75" thickBot="1">
      <c r="A101" s="102" t="s">
        <v>35</v>
      </c>
      <c r="B101" s="104">
        <f>B98-B99-B100</f>
        <v>273.10000000000036</v>
      </c>
      <c r="C101" s="104">
        <f>C98-C99-C100</f>
        <v>536.2999999999993</v>
      </c>
      <c r="D101" s="104">
        <f>D98-D99-D100</f>
        <v>155.19999999999982</v>
      </c>
      <c r="E101" s="100">
        <f>D101/D98*100</f>
        <v>5.951376639312824</v>
      </c>
      <c r="F101" s="100">
        <f t="shared" si="15"/>
        <v>56.82900036616609</v>
      </c>
      <c r="G101" s="100">
        <f t="shared" si="13"/>
        <v>28.9390266641805</v>
      </c>
      <c r="H101" s="100">
        <f>B101-D101</f>
        <v>117.90000000000055</v>
      </c>
      <c r="I101" s="100">
        <f t="shared" si="14"/>
        <v>381.09999999999945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9471.999999999998</v>
      </c>
      <c r="C102" s="97">
        <f>SUM(C103:C131)-C110-C114+C132-C127-C128-C104-C107</f>
        <v>16857.2</v>
      </c>
      <c r="D102" s="97">
        <f>SUM(D103:D131)-D110-D114+D132-D127-D128-D104-D107</f>
        <v>5991.499999999999</v>
      </c>
      <c r="E102" s="98">
        <f>D102/D134*100</f>
        <v>2.1837116939282857</v>
      </c>
      <c r="F102" s="98">
        <f>D102/B102*100</f>
        <v>63.254856418918926</v>
      </c>
      <c r="G102" s="98">
        <f t="shared" si="13"/>
        <v>35.5426761265216</v>
      </c>
      <c r="H102" s="98">
        <f>B102-D102</f>
        <v>3480.499999999999</v>
      </c>
      <c r="I102" s="98">
        <f t="shared" si="14"/>
        <v>10865.7</v>
      </c>
    </row>
    <row r="103" spans="1:9" ht="37.5">
      <c r="A103" s="36" t="s">
        <v>69</v>
      </c>
      <c r="B103" s="82">
        <v>1003.3</v>
      </c>
      <c r="C103" s="78">
        <v>1869.9</v>
      </c>
      <c r="D103" s="83">
        <f>1.4+20.1+85.2+143.2+49+97.4+39.5</f>
        <v>435.79999999999995</v>
      </c>
      <c r="E103" s="6">
        <f>D103/D102*100</f>
        <v>7.273637653342235</v>
      </c>
      <c r="F103" s="6">
        <f t="shared" si="15"/>
        <v>43.436659025216784</v>
      </c>
      <c r="G103" s="6">
        <f t="shared" si="13"/>
        <v>23.306059147547995</v>
      </c>
      <c r="H103" s="6">
        <f aca="true" t="shared" si="16" ref="H103:H132">B103-D103</f>
        <v>567.5</v>
      </c>
      <c r="I103" s="6">
        <f t="shared" si="14"/>
        <v>1434.1000000000001</v>
      </c>
    </row>
    <row r="104" spans="1:9" ht="18">
      <c r="A104" s="31" t="s">
        <v>33</v>
      </c>
      <c r="B104" s="85">
        <v>684.1</v>
      </c>
      <c r="C104" s="54">
        <f>1242.6+0.7</f>
        <v>1243.3</v>
      </c>
      <c r="D104" s="86">
        <f>1.4+85.2+143.2+49</f>
        <v>278.8</v>
      </c>
      <c r="E104" s="1"/>
      <c r="F104" s="1">
        <f t="shared" si="15"/>
        <v>40.754275690688495</v>
      </c>
      <c r="G104" s="1">
        <f t="shared" si="13"/>
        <v>22.424193678114694</v>
      </c>
      <c r="H104" s="1">
        <f t="shared" si="16"/>
        <v>405.3</v>
      </c>
      <c r="I104" s="1">
        <f t="shared" si="14"/>
        <v>964.5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16.5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16.5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37.3</v>
      </c>
      <c r="C108" s="71">
        <v>75.5</v>
      </c>
      <c r="D108" s="83">
        <f>5.5+5.5+5.5-0.1+5.5</f>
        <v>21.9</v>
      </c>
      <c r="E108" s="6">
        <f>D108/D102*100</f>
        <v>0.36551781690728535</v>
      </c>
      <c r="F108" s="6">
        <f t="shared" si="15"/>
        <v>58.713136729222526</v>
      </c>
      <c r="G108" s="6">
        <f t="shared" si="13"/>
        <v>29.00662251655629</v>
      </c>
      <c r="H108" s="6">
        <f t="shared" si="16"/>
        <v>15.399999999999999</v>
      </c>
      <c r="I108" s="6">
        <f t="shared" si="14"/>
        <v>53.6</v>
      </c>
    </row>
    <row r="109" spans="1:9" ht="37.5">
      <c r="A109" s="19" t="s">
        <v>47</v>
      </c>
      <c r="B109" s="84">
        <v>543</v>
      </c>
      <c r="C109" s="71">
        <v>1050</v>
      </c>
      <c r="D109" s="83">
        <f>149.7+2.5+4.1+81.3+2.1+67.3+8+8.2</f>
        <v>323.19999999999993</v>
      </c>
      <c r="E109" s="6">
        <f>D109/D102*100</f>
        <v>5.394308603855462</v>
      </c>
      <c r="F109" s="6">
        <f t="shared" si="15"/>
        <v>59.52117863720072</v>
      </c>
      <c r="G109" s="6">
        <f t="shared" si="13"/>
        <v>30.780952380952375</v>
      </c>
      <c r="H109" s="6">
        <f t="shared" si="16"/>
        <v>219.80000000000007</v>
      </c>
      <c r="I109" s="6">
        <f t="shared" si="14"/>
        <v>726.8000000000001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38.5</v>
      </c>
      <c r="C111" s="63">
        <f>51.6+22.9</f>
        <v>74.5</v>
      </c>
      <c r="D111" s="87">
        <f>22.9</f>
        <v>22.9</v>
      </c>
      <c r="E111" s="21">
        <f>D111/D102*100</f>
        <v>0.3822081281815906</v>
      </c>
      <c r="F111" s="21"/>
      <c r="G111" s="21">
        <f t="shared" si="13"/>
        <v>30.738255033557042</v>
      </c>
      <c r="H111" s="21">
        <f t="shared" si="16"/>
        <v>15.600000000000001</v>
      </c>
      <c r="I111" s="21">
        <f t="shared" si="14"/>
        <v>51.6</v>
      </c>
    </row>
    <row r="112" spans="1:9" ht="37.5">
      <c r="A112" s="19" t="s">
        <v>60</v>
      </c>
      <c r="B112" s="84">
        <v>202.6</v>
      </c>
      <c r="C112" s="71">
        <f>488.6-250</f>
        <v>238.60000000000002</v>
      </c>
      <c r="D112" s="83">
        <f>4.9+70</f>
        <v>74.9</v>
      </c>
      <c r="E112" s="6">
        <f>D112/D102*100</f>
        <v>1.2501043144454649</v>
      </c>
      <c r="F112" s="6">
        <f>D112/B112*100</f>
        <v>36.96939782823298</v>
      </c>
      <c r="G112" s="6">
        <f aca="true" t="shared" si="17" ref="G112:G132">D112/C112*100</f>
        <v>31.391450125733446</v>
      </c>
      <c r="H112" s="6">
        <f t="shared" si="16"/>
        <v>127.69999999999999</v>
      </c>
      <c r="I112" s="6">
        <f t="shared" si="14"/>
        <v>163.70000000000002</v>
      </c>
    </row>
    <row r="113" spans="1:9" s="2" customFormat="1" ht="18.75">
      <c r="A113" s="19" t="s">
        <v>16</v>
      </c>
      <c r="B113" s="84">
        <v>83.7</v>
      </c>
      <c r="C113" s="63">
        <v>153.4</v>
      </c>
      <c r="D113" s="83">
        <f>13.5+13.4+14.3+0.8+6.9+0.4+13.5-0.1+0.8+0.5+2+13.5-0.1</f>
        <v>79.4</v>
      </c>
      <c r="E113" s="6">
        <f>D113/D102*100</f>
        <v>1.3252107151798385</v>
      </c>
      <c r="F113" s="6">
        <f t="shared" si="15"/>
        <v>94.8626045400239</v>
      </c>
      <c r="G113" s="6">
        <f t="shared" si="17"/>
        <v>51.76010430247718</v>
      </c>
      <c r="H113" s="6">
        <f t="shared" si="16"/>
        <v>4.299999999999997</v>
      </c>
      <c r="I113" s="6">
        <f t="shared" si="14"/>
        <v>74</v>
      </c>
    </row>
    <row r="114" spans="1:9" s="41" customFormat="1" ht="18">
      <c r="A114" s="42" t="s">
        <v>54</v>
      </c>
      <c r="B114" s="85">
        <v>67.3</v>
      </c>
      <c r="C114" s="54">
        <v>121.2</v>
      </c>
      <c r="D114" s="86">
        <f>13.5+13.4+13.5+13.5+13.4</f>
        <v>67.3</v>
      </c>
      <c r="E114" s="1"/>
      <c r="F114" s="1">
        <f t="shared" si="15"/>
        <v>100</v>
      </c>
      <c r="G114" s="1">
        <f t="shared" si="17"/>
        <v>55.528052805280524</v>
      </c>
      <c r="H114" s="1">
        <f t="shared" si="16"/>
        <v>0</v>
      </c>
      <c r="I114" s="1">
        <f t="shared" si="14"/>
        <v>53.900000000000006</v>
      </c>
    </row>
    <row r="115" spans="1:9" s="2" customFormat="1" ht="18.75">
      <c r="A115" s="19" t="s">
        <v>25</v>
      </c>
      <c r="B115" s="84">
        <f>181.5-125.5</f>
        <v>56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56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0.33213719435867484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1624.4</v>
      </c>
      <c r="C117" s="63">
        <v>1700.1</v>
      </c>
      <c r="D117" s="87">
        <f>196.6+25+11.8+12.7+6.1</f>
        <v>252.2</v>
      </c>
      <c r="E117" s="21">
        <f>D117/D102*100</f>
        <v>4.209296503379789</v>
      </c>
      <c r="F117" s="6">
        <f t="shared" si="15"/>
        <v>15.525732578182714</v>
      </c>
      <c r="G117" s="6">
        <f t="shared" si="17"/>
        <v>14.834421504617376</v>
      </c>
      <c r="H117" s="6">
        <f t="shared" si="16"/>
        <v>1372.2</v>
      </c>
      <c r="I117" s="6">
        <f t="shared" si="14"/>
        <v>1447.8999999999999</v>
      </c>
    </row>
    <row r="118" spans="1:9" s="2" customFormat="1" ht="56.25">
      <c r="A118" s="19" t="s">
        <v>56</v>
      </c>
      <c r="B118" s="84">
        <v>116.3</v>
      </c>
      <c r="C118" s="63">
        <f>157.1+1.2</f>
        <v>158.29999999999998</v>
      </c>
      <c r="D118" s="87">
        <f>3.8+0.6</f>
        <v>4.3999999999999995</v>
      </c>
      <c r="E118" s="21">
        <f>D118/D102*100</f>
        <v>0.07343736960694316</v>
      </c>
      <c r="F118" s="6">
        <f t="shared" si="15"/>
        <v>3.7833190025795354</v>
      </c>
      <c r="G118" s="6">
        <f t="shared" si="17"/>
        <v>2.779532533164877</v>
      </c>
      <c r="H118" s="6">
        <f t="shared" si="16"/>
        <v>111.89999999999999</v>
      </c>
      <c r="I118" s="6">
        <f t="shared" si="14"/>
        <v>153.89999999999998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>
        <f>16.8+4.6+2.6</f>
        <v>24</v>
      </c>
      <c r="E120" s="21">
        <f>D120/D102*100</f>
        <v>0.4005674705833264</v>
      </c>
      <c r="F120" s="6">
        <f t="shared" si="15"/>
        <v>48</v>
      </c>
      <c r="G120" s="6">
        <f t="shared" si="17"/>
        <v>48</v>
      </c>
      <c r="H120" s="6">
        <f t="shared" si="16"/>
        <v>26</v>
      </c>
      <c r="I120" s="6">
        <f t="shared" si="14"/>
        <v>26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>
        <f>18.3+9.7</f>
        <v>28</v>
      </c>
      <c r="E121" s="21">
        <f>D121/D102*100</f>
        <v>0.46732871568054746</v>
      </c>
      <c r="F121" s="6">
        <f t="shared" si="15"/>
        <v>33.057851239669425</v>
      </c>
      <c r="G121" s="6">
        <f t="shared" si="17"/>
        <v>33.057851239669425</v>
      </c>
      <c r="H121" s="6">
        <f t="shared" si="16"/>
        <v>56.7</v>
      </c>
      <c r="I121" s="6">
        <f t="shared" si="14"/>
        <v>56.7</v>
      </c>
    </row>
    <row r="122" spans="1:9" s="2" customFormat="1" ht="18.75">
      <c r="A122" s="19" t="s">
        <v>75</v>
      </c>
      <c r="B122" s="84">
        <f>92.5+1.2</f>
        <v>93.7</v>
      </c>
      <c r="C122" s="63">
        <v>178.8</v>
      </c>
      <c r="D122" s="87">
        <f>7.2+1.4+9.3+6.8+7.7+4.3+1.8+6+21.8</f>
        <v>66.3</v>
      </c>
      <c r="E122" s="21">
        <f>D122/D102*100</f>
        <v>1.1065676374864393</v>
      </c>
      <c r="F122" s="6">
        <f t="shared" si="15"/>
        <v>70.75773745997866</v>
      </c>
      <c r="G122" s="6">
        <f t="shared" si="17"/>
        <v>37.08053691275167</v>
      </c>
      <c r="H122" s="6">
        <f t="shared" si="16"/>
        <v>27.400000000000006</v>
      </c>
      <c r="I122" s="6">
        <f t="shared" si="14"/>
        <v>112.50000000000001</v>
      </c>
    </row>
    <row r="123" spans="1:9" s="2" customFormat="1" ht="35.25" customHeight="1">
      <c r="A123" s="19" t="s">
        <v>74</v>
      </c>
      <c r="B123" s="84">
        <v>32.8</v>
      </c>
      <c r="C123" s="63">
        <v>67.6</v>
      </c>
      <c r="D123" s="87">
        <f>0.5+1.5+0.1</f>
        <v>2.1</v>
      </c>
      <c r="E123" s="21">
        <f>D123/D102*100</f>
        <v>0.03504965367604106</v>
      </c>
      <c r="F123" s="6">
        <f t="shared" si="15"/>
        <v>6.402439024390244</v>
      </c>
      <c r="G123" s="6">
        <f t="shared" si="17"/>
        <v>3.106508875739645</v>
      </c>
      <c r="H123" s="6">
        <f t="shared" si="16"/>
        <v>30.699999999999996</v>
      </c>
      <c r="I123" s="6">
        <f t="shared" si="14"/>
        <v>65.5</v>
      </c>
    </row>
    <row r="124" spans="1:9" s="2" customFormat="1" ht="35.25" customHeight="1">
      <c r="A124" s="19" t="s">
        <v>76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437.3</v>
      </c>
      <c r="C126" s="63">
        <v>868.2</v>
      </c>
      <c r="D126" s="87">
        <f>21.4+1.2+34.6+22.6+3.4+31.2+5.1+22.6+3+44.8+0.2+32.7+27.3+30.6+3.7+29.7+4.3+33.6+0.1+0.1+6.3</f>
        <v>358.5000000000001</v>
      </c>
      <c r="E126" s="21">
        <f>D126/D102*100</f>
        <v>5.983476591838441</v>
      </c>
      <c r="F126" s="6">
        <f t="shared" si="15"/>
        <v>81.98033386691061</v>
      </c>
      <c r="G126" s="6">
        <f t="shared" si="17"/>
        <v>41.29232895646165</v>
      </c>
      <c r="H126" s="6">
        <f t="shared" si="16"/>
        <v>78.7999999999999</v>
      </c>
      <c r="I126" s="6">
        <f t="shared" si="14"/>
        <v>509.69999999999993</v>
      </c>
    </row>
    <row r="127" spans="1:9" s="41" customFormat="1" ht="18">
      <c r="A127" s="42" t="s">
        <v>54</v>
      </c>
      <c r="B127" s="85">
        <v>370.6</v>
      </c>
      <c r="C127" s="54">
        <v>747.1</v>
      </c>
      <c r="D127" s="86">
        <f>21.4+1.2+34.6+22.6+31.2+22.6+44.8+0.2+32.7+30.6+29.7+33.6</f>
        <v>305.20000000000005</v>
      </c>
      <c r="E127" s="1">
        <f>D127/D126*100</f>
        <v>85.13249651324963</v>
      </c>
      <c r="F127" s="1">
        <f>D127/B127*100</f>
        <v>82.3529411764706</v>
      </c>
      <c r="G127" s="1">
        <f t="shared" si="17"/>
        <v>40.85129166108955</v>
      </c>
      <c r="H127" s="1">
        <f t="shared" si="16"/>
        <v>65.39999999999998</v>
      </c>
      <c r="I127" s="1">
        <f t="shared" si="14"/>
        <v>441.9</v>
      </c>
    </row>
    <row r="128" spans="1:9" s="41" customFormat="1" ht="18">
      <c r="A128" s="31" t="s">
        <v>33</v>
      </c>
      <c r="B128" s="85">
        <v>15.6</v>
      </c>
      <c r="C128" s="54">
        <v>27.4</v>
      </c>
      <c r="D128" s="86">
        <f>3.4+3+2.7+1.6-0.1</f>
        <v>10.600000000000001</v>
      </c>
      <c r="E128" s="1">
        <f>D128/D126*100</f>
        <v>2.9567642956764293</v>
      </c>
      <c r="F128" s="1">
        <f>D128/B128*100</f>
        <v>67.94871794871796</v>
      </c>
      <c r="G128" s="1">
        <f>D128/C128*100</f>
        <v>38.68613138686132</v>
      </c>
      <c r="H128" s="1">
        <f t="shared" si="16"/>
        <v>4.999999999999998</v>
      </c>
      <c r="I128" s="1">
        <f t="shared" si="14"/>
        <v>16.799999999999997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1513.1+580.9+2094</f>
        <v>4188</v>
      </c>
      <c r="E129" s="21">
        <f>D129/D102*100</f>
        <v>69.89902361679047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4188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</f>
        <v>90</v>
      </c>
      <c r="E130" s="21">
        <f>D130/D102*100</f>
        <v>1.502128014687474</v>
      </c>
      <c r="F130" s="119">
        <f>D130/B130*100</f>
        <v>18.915510718789406</v>
      </c>
      <c r="G130" s="6">
        <f t="shared" si="17"/>
        <v>18.915510718789406</v>
      </c>
      <c r="H130" s="6">
        <f t="shared" si="16"/>
        <v>385.8</v>
      </c>
      <c r="I130" s="6">
        <f t="shared" si="14"/>
        <v>385.8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13931.399999999998</v>
      </c>
      <c r="C133" s="88">
        <f>C41+C66+C69+C74+C76+C84+C98+C102+C96+C81+C94</f>
        <v>25001.600000000002</v>
      </c>
      <c r="D133" s="63">
        <f>D41+D66+D69+D74+D76+D84+D98+D102+D96+D81+D94</f>
        <v>8841.8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371867.00000000006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274372.30000000005</v>
      </c>
      <c r="E134" s="40">
        <v>100</v>
      </c>
      <c r="F134" s="3">
        <f>D134/B134*100</f>
        <v>73.7823738056886</v>
      </c>
      <c r="G134" s="3">
        <f aca="true" t="shared" si="18" ref="G134:G140">D134/C134*100</f>
        <v>43.95865546633163</v>
      </c>
      <c r="H134" s="3">
        <f aca="true" t="shared" si="19" ref="H134:H140">B134-D134</f>
        <v>97494.70000000001</v>
      </c>
      <c r="I134" s="3">
        <f aca="true" t="shared" si="20" ref="I134:I140">C134-D134</f>
        <v>349787.6</v>
      </c>
      <c r="K134" s="49"/>
      <c r="L134" s="50"/>
    </row>
    <row r="135" spans="1:12" ht="18.75">
      <c r="A135" s="25" t="s">
        <v>5</v>
      </c>
      <c r="B135" s="70">
        <f>B7+B18+B32+B50+B57+B88+B110+B114+B44+B127</f>
        <v>260634.6</v>
      </c>
      <c r="C135" s="70">
        <f>C7+C18+C32+C50+C57+C88+C110+C114+C44+C127</f>
        <v>430257.9</v>
      </c>
      <c r="D135" s="70">
        <f>D7+D18+D32+D50+D57+D88+D110+D114+D44+D127</f>
        <v>199407.10000000003</v>
      </c>
      <c r="E135" s="6">
        <f>D135/D134*100</f>
        <v>72.6775625673583</v>
      </c>
      <c r="F135" s="6">
        <f aca="true" t="shared" si="21" ref="F135:F146">D135/B135*100</f>
        <v>76.50829935856561</v>
      </c>
      <c r="G135" s="6">
        <f t="shared" si="18"/>
        <v>46.345947395736374</v>
      </c>
      <c r="H135" s="6">
        <f t="shared" si="19"/>
        <v>61227.49999999997</v>
      </c>
      <c r="I135" s="20">
        <f t="shared" si="20"/>
        <v>230850.8</v>
      </c>
      <c r="K135" s="49"/>
      <c r="L135" s="50"/>
    </row>
    <row r="136" spans="1:12" ht="18.75">
      <c r="A136" s="25" t="s">
        <v>0</v>
      </c>
      <c r="B136" s="71">
        <f>B10+B21+B34+B53+B59+B89+B47+B128+B104+B107</f>
        <v>38308.79999999999</v>
      </c>
      <c r="C136" s="71">
        <f>C10+C21+C34+C53+C59+C89+C47+C128+C104+C107</f>
        <v>64923.7</v>
      </c>
      <c r="D136" s="71">
        <f>D10+D21+D34+D53+D59+D89+D47+D128+D104+D107</f>
        <v>26726.999999999996</v>
      </c>
      <c r="E136" s="6">
        <f>D136/D134*100</f>
        <v>9.74114369417029</v>
      </c>
      <c r="F136" s="6">
        <f t="shared" si="21"/>
        <v>69.76725974188699</v>
      </c>
      <c r="G136" s="6">
        <f t="shared" si="18"/>
        <v>41.16678501071257</v>
      </c>
      <c r="H136" s="6">
        <f t="shared" si="19"/>
        <v>11581.799999999992</v>
      </c>
      <c r="I136" s="20">
        <f t="shared" si="20"/>
        <v>38196.7</v>
      </c>
      <c r="K136" s="49"/>
      <c r="L136" s="106"/>
    </row>
    <row r="137" spans="1:12" ht="18.75">
      <c r="A137" s="25" t="s">
        <v>1</v>
      </c>
      <c r="B137" s="70">
        <f>B20+B9+B52+B46+B58+B33+B99</f>
        <v>10735.800000000003</v>
      </c>
      <c r="C137" s="70">
        <f>C20+C9+C52+C46+C58+C33+C99</f>
        <v>20504.5</v>
      </c>
      <c r="D137" s="70">
        <f>D20+D9+D52+D46+D58+D33+D99</f>
        <v>9274.300000000001</v>
      </c>
      <c r="E137" s="6">
        <f>D137/D134*100</f>
        <v>3.380188160393742</v>
      </c>
      <c r="F137" s="6">
        <f t="shared" si="21"/>
        <v>86.38666890217775</v>
      </c>
      <c r="G137" s="6">
        <f t="shared" si="18"/>
        <v>45.23055914555342</v>
      </c>
      <c r="H137" s="6">
        <f t="shared" si="19"/>
        <v>1461.5000000000018</v>
      </c>
      <c r="I137" s="20">
        <f t="shared" si="20"/>
        <v>11230.199999999999</v>
      </c>
      <c r="K137" s="49"/>
      <c r="L137" s="50"/>
    </row>
    <row r="138" spans="1:12" ht="21" customHeight="1">
      <c r="A138" s="25" t="s">
        <v>15</v>
      </c>
      <c r="B138" s="70">
        <f>B11+B22+B100+B60+B36+B90</f>
        <v>4725.8</v>
      </c>
      <c r="C138" s="70">
        <f>C11+C22+C100+C60+C36+C90</f>
        <v>8036.500000000001</v>
      </c>
      <c r="D138" s="70">
        <f>D11+D22+D100+D60+D36+D90</f>
        <v>3230.0000000000005</v>
      </c>
      <c r="E138" s="6">
        <f>D138/D134*100</f>
        <v>1.177232541331614</v>
      </c>
      <c r="F138" s="6">
        <f t="shared" si="21"/>
        <v>68.34821617503916</v>
      </c>
      <c r="G138" s="6">
        <f t="shared" si="18"/>
        <v>40.19162570770858</v>
      </c>
      <c r="H138" s="6">
        <f t="shared" si="19"/>
        <v>1495.7999999999997</v>
      </c>
      <c r="I138" s="20">
        <f t="shared" si="20"/>
        <v>4806.5</v>
      </c>
      <c r="K138" s="49"/>
      <c r="L138" s="106"/>
    </row>
    <row r="139" spans="1:12" ht="18.75">
      <c r="A139" s="25" t="s">
        <v>2</v>
      </c>
      <c r="B139" s="70">
        <f>B8+B19+B45+B51</f>
        <v>4072.7000000000003</v>
      </c>
      <c r="C139" s="70">
        <f>C8+C19+C45+C51</f>
        <v>7873.900000000001</v>
      </c>
      <c r="D139" s="70">
        <f>D8+D19+D45+D51</f>
        <v>1861.7999999999995</v>
      </c>
      <c r="E139" s="6">
        <f>D139/D134*100</f>
        <v>0.6785670419353554</v>
      </c>
      <c r="F139" s="6">
        <f t="shared" si="21"/>
        <v>45.7141454072237</v>
      </c>
      <c r="G139" s="6">
        <f t="shared" si="18"/>
        <v>23.645207584551482</v>
      </c>
      <c r="H139" s="6">
        <f t="shared" si="19"/>
        <v>2210.9000000000005</v>
      </c>
      <c r="I139" s="20">
        <f t="shared" si="20"/>
        <v>6012.100000000001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53389.30000000006</v>
      </c>
      <c r="C140" s="70">
        <f>C134-C135-C136-C137-C138-C139</f>
        <v>92563.40000000001</v>
      </c>
      <c r="D140" s="70">
        <f>D134-D135-D136-D137-D138-D139</f>
        <v>33872.100000000006</v>
      </c>
      <c r="E140" s="6">
        <f>D140/D134*100</f>
        <v>12.345305994810701</v>
      </c>
      <c r="F140" s="6">
        <f t="shared" si="21"/>
        <v>63.44361136032869</v>
      </c>
      <c r="G140" s="46">
        <f t="shared" si="18"/>
        <v>36.593405168781615</v>
      </c>
      <c r="H140" s="6">
        <f t="shared" si="19"/>
        <v>19517.200000000055</v>
      </c>
      <c r="I140" s="6">
        <f t="shared" si="20"/>
        <v>58691.3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29554.7</v>
      </c>
      <c r="C142" s="77">
        <v>77971.6</v>
      </c>
      <c r="D142" s="77">
        <f>1285.7+343.1+251.2+535+4+1250.9+3</f>
        <v>3672.9</v>
      </c>
      <c r="E142" s="16"/>
      <c r="F142" s="6">
        <f t="shared" si="21"/>
        <v>12.427465005565951</v>
      </c>
      <c r="G142" s="6">
        <f aca="true" t="shared" si="22" ref="G142:G151">D142/C142*100</f>
        <v>4.710561281287032</v>
      </c>
      <c r="H142" s="6">
        <f>B142-D142</f>
        <v>25881.8</v>
      </c>
      <c r="I142" s="6">
        <f aca="true" t="shared" si="23" ref="I142:I151">C142-D142</f>
        <v>74298.70000000001</v>
      </c>
      <c r="J142" s="109"/>
      <c r="K142" s="49"/>
      <c r="L142" s="49"/>
    </row>
    <row r="143" spans="1:12" ht="18.75">
      <c r="A143" s="25" t="s">
        <v>22</v>
      </c>
      <c r="B143" s="92">
        <v>14354.9</v>
      </c>
      <c r="C143" s="70">
        <f>23644.2-130</f>
        <v>23514.2</v>
      </c>
      <c r="D143" s="70">
        <f>2921.3+155.4+1707.9+56.8+14.6</f>
        <v>4856.000000000001</v>
      </c>
      <c r="E143" s="6"/>
      <c r="F143" s="6">
        <f t="shared" si="21"/>
        <v>33.8281701718577</v>
      </c>
      <c r="G143" s="6">
        <f t="shared" si="22"/>
        <v>20.651351098485176</v>
      </c>
      <c r="H143" s="6">
        <f aca="true" t="shared" si="24" ref="H143:H150">B143-D143</f>
        <v>9498.899999999998</v>
      </c>
      <c r="I143" s="6">
        <f t="shared" si="23"/>
        <v>18658.2</v>
      </c>
      <c r="K143" s="49"/>
      <c r="L143" s="49"/>
    </row>
    <row r="144" spans="1:12" ht="18.75">
      <c r="A144" s="25" t="s">
        <v>63</v>
      </c>
      <c r="B144" s="92">
        <v>37500.3</v>
      </c>
      <c r="C144" s="70">
        <f>109130.7-6200+130</f>
        <v>103060.7</v>
      </c>
      <c r="D144" s="70">
        <f>6096.5+112.1+30.9+1603.7+825.7-185.6+11.1+170.9+380.2+5.4+65.1+200.4+74.5+498.5+120.7+76.5+8.2+81+5.4+147.8+98.3+231.2+169.5</f>
        <v>10828</v>
      </c>
      <c r="E144" s="6"/>
      <c r="F144" s="6">
        <f t="shared" si="21"/>
        <v>28.8744356711813</v>
      </c>
      <c r="G144" s="6">
        <f t="shared" si="22"/>
        <v>10.5064297059888</v>
      </c>
      <c r="H144" s="6">
        <f t="shared" si="24"/>
        <v>26672.300000000003</v>
      </c>
      <c r="I144" s="6">
        <f t="shared" si="23"/>
        <v>92232.7</v>
      </c>
      <c r="K144" s="49"/>
      <c r="L144" s="49"/>
    </row>
    <row r="145" spans="1:12" ht="37.5">
      <c r="A145" s="25" t="s">
        <v>72</v>
      </c>
      <c r="B145" s="92">
        <v>6200</v>
      </c>
      <c r="C145" s="70">
        <v>6200</v>
      </c>
      <c r="D145" s="70">
        <f>5500+500</f>
        <v>6000</v>
      </c>
      <c r="E145" s="6"/>
      <c r="F145" s="6">
        <f t="shared" si="21"/>
        <v>96.7741935483871</v>
      </c>
      <c r="G145" s="6">
        <f t="shared" si="22"/>
        <v>96.7741935483871</v>
      </c>
      <c r="H145" s="6">
        <f t="shared" si="24"/>
        <v>200</v>
      </c>
      <c r="I145" s="6">
        <f t="shared" si="23"/>
        <v>200</v>
      </c>
      <c r="K145" s="49"/>
      <c r="L145" s="49"/>
    </row>
    <row r="146" spans="1:12" ht="18.75">
      <c r="A146" s="25" t="s">
        <v>13</v>
      </c>
      <c r="B146" s="92">
        <v>8486.9</v>
      </c>
      <c r="C146" s="70">
        <f>8750.7+10716.7</f>
        <v>19467.4</v>
      </c>
      <c r="D146" s="70">
        <f>1079.6+99+23+18.9+98+142.5+46.8+99.4+162.7+67+248.3+33.5+121.9+230+22.3</f>
        <v>2492.9000000000005</v>
      </c>
      <c r="E146" s="21"/>
      <c r="F146" s="6">
        <f t="shared" si="21"/>
        <v>29.373505048957817</v>
      </c>
      <c r="G146" s="6">
        <f t="shared" si="22"/>
        <v>12.805510751307317</v>
      </c>
      <c r="H146" s="6">
        <f t="shared" si="24"/>
        <v>5993.999999999999</v>
      </c>
      <c r="I146" s="6">
        <f t="shared" si="23"/>
        <v>16974.5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724.1</v>
      </c>
      <c r="C148" s="70">
        <f>790+361.2</f>
        <v>1151.2</v>
      </c>
      <c r="D148" s="70">
        <f>371+201.4</f>
        <v>572.4</v>
      </c>
      <c r="E148" s="21"/>
      <c r="F148" s="6">
        <f>D148/B148*100</f>
        <v>79.04985499240436</v>
      </c>
      <c r="G148" s="6">
        <f t="shared" si="22"/>
        <v>49.722029186935366</v>
      </c>
      <c r="H148" s="6">
        <f t="shared" si="24"/>
        <v>151.70000000000005</v>
      </c>
      <c r="I148" s="6">
        <f t="shared" si="23"/>
        <v>578.8000000000001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v>5503.8</v>
      </c>
      <c r="C150" s="93">
        <f>3939.6+4926.7</f>
        <v>8866.3</v>
      </c>
      <c r="D150" s="93">
        <f>95.1+9.9+65+49.9+275.1+44.8+19.5</f>
        <v>559.3</v>
      </c>
      <c r="E150" s="26"/>
      <c r="F150" s="6">
        <f>D150/B150*100</f>
        <v>10.162069842654164</v>
      </c>
      <c r="G150" s="6">
        <f t="shared" si="22"/>
        <v>6.308155600419567</v>
      </c>
      <c r="H150" s="6">
        <f t="shared" si="24"/>
        <v>4944.5</v>
      </c>
      <c r="I150" s="6">
        <f t="shared" si="23"/>
        <v>8307</v>
      </c>
    </row>
    <row r="151" spans="1:9" ht="19.5" thickBot="1">
      <c r="A151" s="15" t="s">
        <v>20</v>
      </c>
      <c r="B151" s="94">
        <f>B134+B142+B146+B147+B143+B150+B149+B144+B148+B145</f>
        <v>475870.00000000006</v>
      </c>
      <c r="C151" s="94">
        <f>C134+C142+C146+C147+C143+C150+C149+C144+C148+C145</f>
        <v>866336.9999999999</v>
      </c>
      <c r="D151" s="94">
        <f>D134+D142+D146+D147+D143+D150+D149+D144+D148+D145</f>
        <v>304472.1000000001</v>
      </c>
      <c r="E151" s="27"/>
      <c r="F151" s="3">
        <f>D151/B151*100</f>
        <v>63.98220102128733</v>
      </c>
      <c r="G151" s="3">
        <f t="shared" si="22"/>
        <v>35.14476468164238</v>
      </c>
      <c r="H151" s="3">
        <f>B151-D151</f>
        <v>171397.89999999997</v>
      </c>
      <c r="I151" s="3">
        <f t="shared" si="23"/>
        <v>561864.8999999998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32" sqref="Q3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274372.30000000005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6" sqref="P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31" sqref="R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9" sqref="R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8" sqref="Q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8" sqref="Q2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8" sqref="Q2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274372.30000000005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2014-06-02T06:55:48Z</cp:lastPrinted>
  <dcterms:created xsi:type="dcterms:W3CDTF">2000-06-20T04:48:00Z</dcterms:created>
  <dcterms:modified xsi:type="dcterms:W3CDTF">2014-06-10T06:02:33Z</dcterms:modified>
  <cp:category/>
  <cp:version/>
  <cp:contentType/>
  <cp:contentStatus/>
</cp:coreProperties>
</file>